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<sst xmlns="http://schemas.openxmlformats.org/spreadsheetml/2006/main" count="73" uniqueCount="61">
  <si>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CALORIC EXPENDITURE/DIETARY GUIDELINES</t>
  </si>
  <si>
    <t>Daily Caloric Intake</t>
  </si>
  <si>
    <t>Daily</t>
  </si>
  <si>
    <t>Lose Weight (Weekly)</t>
  </si>
  <si>
    <t>Maintain Wt</t>
  </si>
  <si>
    <t>Gain Weight (Weekly)</t>
  </si>
  <si>
    <t>Name:</t>
  </si>
  <si>
    <t>John Doe</t>
  </si>
  <si>
    <t>Meals:</t>
  </si>
  <si>
    <t>1 Pound</t>
  </si>
  <si>
    <t>2 Pounds</t>
  </si>
  <si>
    <t>-</t>
  </si>
  <si>
    <t>Calories/Day</t>
  </si>
  <si>
    <t>Weight (lbs.):</t>
  </si>
  <si>
    <t>Height (in.):</t>
  </si>
  <si>
    <t>Calories/Meal</t>
  </si>
  <si>
    <t>Sex:</t>
  </si>
  <si>
    <t>Male</t>
  </si>
  <si>
    <t>Age:</t>
  </si>
  <si>
    <t>BF %:</t>
  </si>
  <si>
    <t>LBM (lbs.):</t>
  </si>
  <si>
    <t>Daily Caloric Breakdown</t>
  </si>
  <si>
    <t>Body Weight Goal:</t>
  </si>
  <si>
    <t>Gain 1 lb</t>
  </si>
  <si>
    <t>Normal Activity Level:</t>
  </si>
  <si>
    <t>Very Active</t>
  </si>
  <si>
    <t>Percent 
Calories</t>
  </si>
  <si>
    <t>% Carbs</t>
  </si>
  <si>
    <t>CHO</t>
  </si>
  <si>
    <t>% Fat</t>
  </si>
  <si>
    <t>Fat</t>
  </si>
  <si>
    <t>% Pro</t>
  </si>
  <si>
    <t>Protein</t>
  </si>
  <si>
    <t>w/ LBM:</t>
  </si>
  <si>
    <t>Meal</t>
  </si>
  <si>
    <t>Calories</t>
  </si>
  <si>
    <t>Grams</t>
  </si>
  <si>
    <t>Male w/o known LBM:</t>
  </si>
  <si>
    <t>Female w/o known LBM:</t>
  </si>
  <si>
    <t>Meals Per Day:</t>
  </si>
  <si>
    <t>Caloric Expenditure During Exercise</t>
  </si>
  <si>
    <t>Totals</t>
  </si>
  <si>
    <t>PROTEIN:</t>
  </si>
  <si>
    <t>Known Caloric Expenditure/Day:</t>
  </si>
  <si>
    <t>Days:</t>
  </si>
  <si>
    <t>Gms/Kg</t>
  </si>
  <si>
    <t>If Unknown Expenditure Use Equations Below:</t>
  </si>
  <si>
    <t>Food Analysis and Meal Assessment</t>
  </si>
  <si>
    <t>Walking</t>
  </si>
  <si>
    <t>Speed:</t>
  </si>
  <si>
    <t>Grade:</t>
  </si>
  <si>
    <t>Time (min):</t>
  </si>
  <si>
    <t>Net Caloric Expenditure/Day:</t>
  </si>
  <si>
    <t>Running</t>
  </si>
  <si>
    <t>Grade</t>
  </si>
  <si>
    <t>Weight Lifting:</t>
  </si>
  <si>
    <t>Moderate</t>
  </si>
  <si>
    <t>Maximum Daily Energy Expenditure (kcals):</t>
  </si>
  <si>
    <t>Total Weekly Energy Expenditure (kcals):</t>
  </si>
  <si>
    <r>
      <t>RMR</t>
    </r>
    <r>
      <rPr>
        <sz val="12"/>
        <color indexed="9"/>
        <rFont val="Arial"/>
        <family val="0"/>
      </rPr>
      <t xml:space="preserve"> (kcals/day):</t>
    </r>
  </si>
  <si>
    <r>
      <t>Thermic Effect of Eating</t>
    </r>
    <r>
      <rPr>
        <sz val="12"/>
        <color indexed="9"/>
        <rFont val="Arial"/>
        <family val="2"/>
      </rPr>
      <t xml:space="preserve"> (kcals/d):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</si>
</sst>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9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3" fontId="7" fillId="0" borderId="1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0" fontId="8" fillId="4" borderId="13" xfId="0" applyNumberFormat="1" applyFont="1" applyFill="1" applyBorder="1" applyAlignment="1" applyProtection="1">
      <alignment horizontal="center"/>
      <protection locked="0"/>
    </xf>
    <xf numFmtId="2" fontId="8" fillId="4" borderId="14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9" fontId="7" fillId="0" borderId="13" xfId="0" applyNumberFormat="1" applyFont="1" applyBorder="1" applyAlignment="1" applyProtection="1">
      <alignment horizontal="center"/>
      <protection locked="0"/>
    </xf>
    <xf numFmtId="9" fontId="7" fillId="0" borderId="0" xfId="0" applyNumberFormat="1" applyFont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3" fontId="8" fillId="4" borderId="14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8" fillId="6" borderId="13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3" fontId="7" fillId="7" borderId="13" xfId="0" applyNumberFormat="1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>
      <alignment horizontal="center"/>
    </xf>
    <xf numFmtId="0" fontId="7" fillId="7" borderId="13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165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7" borderId="14" xfId="0" applyFont="1" applyFill="1" applyBorder="1" applyAlignment="1">
      <alignment horizontal="center"/>
    </xf>
    <xf numFmtId="0" fontId="9" fillId="8" borderId="10" xfId="20" applyFont="1" applyFill="1" applyBorder="1" applyAlignment="1" applyProtection="1">
      <alignment horizontal="center"/>
      <protection locked="0"/>
    </xf>
    <xf numFmtId="0" fontId="9" fillId="8" borderId="25" xfId="20" applyFont="1" applyFill="1" applyBorder="1" applyAlignment="1" applyProtection="1">
      <alignment horizontal="center"/>
      <protection locked="0"/>
    </xf>
    <xf numFmtId="0" fontId="9" fillId="8" borderId="11" xfId="2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165" fontId="7" fillId="7" borderId="13" xfId="0" applyNumberFormat="1" applyFont="1" applyFill="1" applyBorder="1" applyAlignment="1" applyProtection="1">
      <alignment horizontal="center"/>
      <protection locked="0"/>
    </xf>
    <xf numFmtId="164" fontId="7" fillId="7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7" borderId="22" xfId="0" applyFont="1" applyFill="1" applyBorder="1" applyAlignment="1">
      <alignment horizontal="center"/>
    </xf>
    <xf numFmtId="3" fontId="7" fillId="7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7" borderId="7" xfId="0" applyFont="1" applyFill="1" applyBorder="1" applyAlignment="1">
      <alignment/>
    </xf>
    <xf numFmtId="0" fontId="7" fillId="7" borderId="9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tritiondata.com/widget/basic-sear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B3" sqref="B3:C3"/>
    </sheetView>
  </sheetViews>
  <sheetFormatPr defaultColWidth="9.140625" defaultRowHeight="12.75"/>
  <cols>
    <col min="1" max="6" width="12.28125" style="0" customWidth="1"/>
    <col min="7" max="7" width="3.8515625" style="0" bestFit="1" customWidth="1"/>
    <col min="8" max="8" width="7.00390625" style="0" bestFit="1" customWidth="1"/>
    <col min="9" max="10" width="3.57421875" style="0" customWidth="1"/>
    <col min="11" max="11" width="10.00390625" style="0" customWidth="1"/>
    <col min="12" max="13" width="11.7109375" style="0" customWidth="1"/>
    <col min="14" max="14" width="13.00390625" style="0" bestFit="1" customWidth="1"/>
    <col min="15" max="16" width="11.8515625" style="0" customWidth="1"/>
    <col min="17" max="17" width="10.00390625" style="0" customWidth="1"/>
    <col min="18" max="18" width="13.00390625" style="0" customWidth="1"/>
    <col min="19" max="19" width="10.00390625" style="0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4"/>
      <c r="M1" s="4"/>
      <c r="N1" s="4"/>
      <c r="O1" s="4"/>
      <c r="P1" s="4"/>
      <c r="Q1" s="4"/>
      <c r="R1" s="4"/>
      <c r="S1" s="5"/>
    </row>
    <row r="2" spans="10:19" ht="15.75" thickBot="1">
      <c r="J2" s="6"/>
      <c r="K2" s="7" t="s">
        <v>2</v>
      </c>
      <c r="L2" s="8" t="s">
        <v>3</v>
      </c>
      <c r="M2" s="9"/>
      <c r="N2" s="10" t="s">
        <v>4</v>
      </c>
      <c r="O2" s="8" t="s">
        <v>5</v>
      </c>
      <c r="P2" s="9"/>
      <c r="Q2" s="11"/>
      <c r="R2" s="11"/>
      <c r="S2" s="12"/>
    </row>
    <row r="3" spans="1:19" ht="18" customHeight="1" thickBot="1">
      <c r="A3" s="13" t="s">
        <v>6</v>
      </c>
      <c r="B3" s="14" t="s">
        <v>7</v>
      </c>
      <c r="C3" s="15"/>
      <c r="D3" s="16"/>
      <c r="J3" s="6"/>
      <c r="K3" s="17" t="s">
        <v>8</v>
      </c>
      <c r="L3" s="18" t="s">
        <v>9</v>
      </c>
      <c r="M3" s="18" t="s">
        <v>10</v>
      </c>
      <c r="N3" s="19" t="s">
        <v>11</v>
      </c>
      <c r="O3" s="18" t="s">
        <v>9</v>
      </c>
      <c r="P3" s="18" t="s">
        <v>10</v>
      </c>
      <c r="Q3" s="11"/>
      <c r="R3" s="11"/>
      <c r="S3" s="12"/>
    </row>
    <row r="4" spans="10:19" ht="15.75" customHeight="1" thickBot="1">
      <c r="J4" s="6"/>
      <c r="K4" s="20">
        <v>5</v>
      </c>
      <c r="L4" s="21">
        <f>(F37-3500)/7</f>
        <v>2532.0774545454547</v>
      </c>
      <c r="M4" s="22">
        <f>(F37-7000)/7</f>
        <v>2032.0774545454547</v>
      </c>
      <c r="N4" s="22">
        <f>F37/7</f>
        <v>3032.0774545454547</v>
      </c>
      <c r="O4" s="22">
        <f>(F37+3500)/7</f>
        <v>3532.0774545454547</v>
      </c>
      <c r="P4" s="22">
        <f>(F37+7000)/7</f>
        <v>4032.0774545454547</v>
      </c>
      <c r="Q4" s="23" t="s">
        <v>12</v>
      </c>
      <c r="R4" s="23"/>
      <c r="S4" s="24"/>
    </row>
    <row r="5" spans="1:19" ht="15.75" thickBot="1">
      <c r="A5" s="25" t="s">
        <v>13</v>
      </c>
      <c r="B5" s="26"/>
      <c r="C5" s="27">
        <v>160</v>
      </c>
      <c r="E5" s="28" t="s">
        <v>14</v>
      </c>
      <c r="F5" s="29"/>
      <c r="G5" s="30">
        <v>68</v>
      </c>
      <c r="J5" s="6"/>
      <c r="K5" s="31"/>
      <c r="L5" s="32">
        <f>(F37-3500)/(7*K4)</f>
        <v>506.4154909090909</v>
      </c>
      <c r="M5" s="32">
        <f>(F37-7000)/(7*K4)</f>
        <v>406.4154909090909</v>
      </c>
      <c r="N5" s="32">
        <f>F37/7/K4</f>
        <v>606.415490909091</v>
      </c>
      <c r="O5" s="32">
        <f>(F37+3500)/7/K4</f>
        <v>706.415490909091</v>
      </c>
      <c r="P5" s="32">
        <f>(F37+7000)/7/K4</f>
        <v>806.415490909091</v>
      </c>
      <c r="Q5" s="33" t="s">
        <v>15</v>
      </c>
      <c r="R5" s="33"/>
      <c r="S5" s="34"/>
    </row>
    <row r="6" ht="13.5" thickBot="1">
      <c r="J6" s="6"/>
    </row>
    <row r="7" spans="1:10" ht="15.75" thickBot="1">
      <c r="A7" s="35" t="s">
        <v>16</v>
      </c>
      <c r="B7" s="30" t="s">
        <v>17</v>
      </c>
      <c r="E7" s="36" t="s">
        <v>18</v>
      </c>
      <c r="F7" s="27">
        <v>19</v>
      </c>
      <c r="J7" s="6"/>
    </row>
    <row r="8" ht="13.5" thickBot="1">
      <c r="J8" s="6"/>
    </row>
    <row r="9" spans="1:19" ht="18.75" thickBot="1">
      <c r="A9" s="35" t="s">
        <v>19</v>
      </c>
      <c r="B9" s="37">
        <v>0.11</v>
      </c>
      <c r="E9" s="35" t="s">
        <v>20</v>
      </c>
      <c r="F9" s="38">
        <f>IF(B9&gt;0,((C5/2.2)-((C5/2.2)*B9))*2.2,0)</f>
        <v>142.4</v>
      </c>
      <c r="J9" s="6"/>
      <c r="K9" s="39" t="s">
        <v>21</v>
      </c>
      <c r="L9" s="40"/>
      <c r="M9" s="40"/>
      <c r="N9" s="40"/>
      <c r="O9" s="40"/>
      <c r="P9" s="40"/>
      <c r="Q9" s="40"/>
      <c r="R9" s="40"/>
      <c r="S9" s="41"/>
    </row>
    <row r="10" spans="10:19" ht="15.75" thickBot="1">
      <c r="J10" s="6"/>
      <c r="K10" s="42"/>
      <c r="L10" s="11"/>
      <c r="M10" s="11"/>
      <c r="N10" s="23" t="s">
        <v>22</v>
      </c>
      <c r="O10" s="43"/>
      <c r="P10" s="20" t="s">
        <v>23</v>
      </c>
      <c r="Q10" s="11"/>
      <c r="R10" s="11"/>
      <c r="S10" s="12"/>
    </row>
    <row r="11" spans="1:19" ht="15.75" thickBot="1">
      <c r="A11" s="28" t="s">
        <v>24</v>
      </c>
      <c r="B11" s="29"/>
      <c r="C11" s="30" t="s">
        <v>25</v>
      </c>
      <c r="J11" s="6"/>
      <c r="K11" s="17"/>
      <c r="L11" s="19"/>
      <c r="M11" s="11"/>
      <c r="N11" s="11"/>
      <c r="O11" s="19"/>
      <c r="P11" s="19"/>
      <c r="Q11" s="19"/>
      <c r="R11" s="19"/>
      <c r="S11" s="44"/>
    </row>
    <row r="12" spans="10:19" ht="15.75" thickBot="1">
      <c r="J12" s="6"/>
      <c r="K12" s="17"/>
      <c r="L12" s="45" t="s">
        <v>26</v>
      </c>
      <c r="M12" s="19"/>
      <c r="N12" s="19" t="s">
        <v>27</v>
      </c>
      <c r="O12" s="46" t="s">
        <v>28</v>
      </c>
      <c r="P12" s="19" t="s">
        <v>29</v>
      </c>
      <c r="Q12" s="19" t="s">
        <v>30</v>
      </c>
      <c r="R12" s="19" t="s">
        <v>31</v>
      </c>
      <c r="S12" s="44" t="s">
        <v>32</v>
      </c>
    </row>
    <row r="13" spans="1:19" ht="16.5" thickBot="1">
      <c r="A13" s="47" t="s">
        <v>59</v>
      </c>
      <c r="B13" s="48"/>
      <c r="C13" s="49" t="s">
        <v>33</v>
      </c>
      <c r="D13" s="50">
        <f>IF(F9&gt;0,IF(C11="Bed Rest",1.05*(370+(21.6*(F9/2.2))),IF(C11="Sedentary",1.15*(370+(21.6*(F9/2.2))),IF(C11="Active",1.25*(370+(21.6*(F9/2.2))),IF(C11="Very Active",1.35*(370+(21.6*(F9/2.2))))))),0)</f>
        <v>2386.947272727273</v>
      </c>
      <c r="J13" s="6"/>
      <c r="K13" s="17" t="s">
        <v>34</v>
      </c>
      <c r="L13" s="45"/>
      <c r="M13" s="19" t="s">
        <v>35</v>
      </c>
      <c r="N13" s="51">
        <v>0.6</v>
      </c>
      <c r="O13" s="19" t="s">
        <v>36</v>
      </c>
      <c r="P13" s="52">
        <f>100%-(N13+R13)</f>
        <v>0.24</v>
      </c>
      <c r="Q13" s="19" t="s">
        <v>36</v>
      </c>
      <c r="R13" s="51">
        <v>0.16</v>
      </c>
      <c r="S13" s="44" t="s">
        <v>36</v>
      </c>
    </row>
    <row r="14" spans="3:19" ht="15.75" thickBot="1">
      <c r="C14" s="53" t="s">
        <v>37</v>
      </c>
      <c r="D14" s="54"/>
      <c r="E14" s="55">
        <f>IF(D13=0,IF(B7="Male",IF(C11="Active",1.25,IF(C11="Very Active",1.35,IF(C11="Sedentary",1.15,IF(C11="Bed Rest",1.05))))*(66+(13.8*(C5/2.2))+(5*G5*2.54)-(6.8*F7)),0),0)</f>
        <v>0</v>
      </c>
      <c r="J14" s="6"/>
      <c r="K14" s="56">
        <v>1</v>
      </c>
      <c r="L14" s="51">
        <v>0.2</v>
      </c>
      <c r="M14" s="57">
        <f>M20*L14</f>
        <v>706.415490909091</v>
      </c>
      <c r="N14" s="58"/>
      <c r="O14" s="57">
        <f>L14*O20</f>
        <v>105.96232363636364</v>
      </c>
      <c r="P14" s="59"/>
      <c r="Q14" s="57">
        <f>Q20*L14</f>
        <v>18.837746424242425</v>
      </c>
      <c r="R14" s="58"/>
      <c r="S14" s="60">
        <f>S20*L14</f>
        <v>28.256619636363638</v>
      </c>
    </row>
    <row r="15" spans="3:19" ht="15.75" thickBot="1">
      <c r="C15" s="61" t="s">
        <v>38</v>
      </c>
      <c r="D15" s="62"/>
      <c r="E15" s="55">
        <f>IF(D13=0,IF(B7="Female",IF(C11="Bed Rest",1.05,IF(C11="Sedentary",1.15,IF(C11="Active",1.25,IF(C11="Very Active",1.35))))*(655+9.6*(C5/2.2)+1.8*(G5*2.54)-4.7*F7),0),0)</f>
        <v>0</v>
      </c>
      <c r="J15" s="6"/>
      <c r="K15" s="56">
        <v>2</v>
      </c>
      <c r="L15" s="51">
        <v>0.25</v>
      </c>
      <c r="M15" s="57">
        <f>M20*L15</f>
        <v>883.0193636363637</v>
      </c>
      <c r="N15" s="59"/>
      <c r="O15" s="57">
        <f>L15*O20</f>
        <v>132.45290454545454</v>
      </c>
      <c r="P15" s="59"/>
      <c r="Q15" s="57">
        <f>Q20*L15</f>
        <v>23.54718303030303</v>
      </c>
      <c r="R15" s="59"/>
      <c r="S15" s="60">
        <f>S20*L15</f>
        <v>35.32077454545455</v>
      </c>
    </row>
    <row r="16" spans="10:19" ht="15.75" thickBot="1">
      <c r="J16" s="6"/>
      <c r="K16" s="56">
        <f>IF(K4&lt;3,"",IF(K4&gt;2,3))</f>
        <v>3</v>
      </c>
      <c r="L16" s="51">
        <v>0.1</v>
      </c>
      <c r="M16" s="57">
        <f>IF(K16="","",IF(K16=3,M20*L16))</f>
        <v>353.2077454545455</v>
      </c>
      <c r="N16" s="59"/>
      <c r="O16" s="57">
        <f>IF(K16="","",IF(K16=3,L16*O20))</f>
        <v>52.98116181818182</v>
      </c>
      <c r="P16" s="59"/>
      <c r="Q16" s="57">
        <f>IF(K16="","",IF(K16=3,Q20*L16))</f>
        <v>9.418873212121213</v>
      </c>
      <c r="R16" s="59"/>
      <c r="S16" s="60">
        <f>IF(K16="","",IF(K16=3,S20*L16))</f>
        <v>14.128309818181819</v>
      </c>
    </row>
    <row r="17" spans="1:19" ht="15.75" thickBot="1">
      <c r="A17" s="63" t="s">
        <v>39</v>
      </c>
      <c r="B17" s="64"/>
      <c r="C17" s="64"/>
      <c r="D17" s="65">
        <v>4</v>
      </c>
      <c r="J17" s="6"/>
      <c r="K17" s="56">
        <f>IF(K4&lt;4,"",IF(K4&gt;3,4))</f>
        <v>4</v>
      </c>
      <c r="L17" s="51">
        <v>0.3</v>
      </c>
      <c r="M17" s="57">
        <f>IF(K17="","",IF(K17=4,M20*L17))</f>
        <v>1059.6232363636364</v>
      </c>
      <c r="N17" s="59"/>
      <c r="O17" s="57">
        <f>IF(K17="","",IF(K17=4,L17*O20))</f>
        <v>158.94348545454545</v>
      </c>
      <c r="P17" s="59"/>
      <c r="Q17" s="57">
        <f>IF(K17="","",IF(K17=4,Q20*L17))</f>
        <v>28.256619636363638</v>
      </c>
      <c r="R17" s="59"/>
      <c r="S17" s="60">
        <f>IF(K17="","",IF(K17=4,S20*L17))</f>
        <v>42.38492945454546</v>
      </c>
    </row>
    <row r="18" spans="1:19" ht="16.5" thickBot="1">
      <c r="A18" s="66" t="s">
        <v>60</v>
      </c>
      <c r="B18" s="67"/>
      <c r="C18" s="67"/>
      <c r="D18" s="68">
        <f>IF(D17=6,300,IF(D17=5,250,IF(D17=4,200,IF(D17=3,150,IF(D17=2,100)))))</f>
        <v>200</v>
      </c>
      <c r="J18" s="6"/>
      <c r="K18" s="56">
        <f>IF(K4&lt;5,"",IF(K4&gt;4,5))</f>
        <v>5</v>
      </c>
      <c r="L18" s="51">
        <v>0.15</v>
      </c>
      <c r="M18" s="57">
        <f>IF(K18="","",IF(K18=5,M20*L18))</f>
        <v>529.8116181818182</v>
      </c>
      <c r="N18" s="59"/>
      <c r="O18" s="57">
        <f>IF(K18="","",IF(K18=5,L18*O20))</f>
        <v>79.47174272727273</v>
      </c>
      <c r="P18" s="59"/>
      <c r="Q18" s="57">
        <f>IF(K18="","",IF(K18=5,Q20*L18))</f>
        <v>14.128309818181819</v>
      </c>
      <c r="R18" s="59"/>
      <c r="S18" s="60">
        <f>IF(K18="","",IF(K18=5,S20*L18))</f>
        <v>21.19246472727273</v>
      </c>
    </row>
    <row r="19" spans="10:19" ht="15.75" thickBot="1">
      <c r="J19" s="6"/>
      <c r="K19" s="56">
        <f>IF(K4&lt;6,"",IF(K4&gt;5,6))</f>
      </c>
      <c r="L19" s="51">
        <v>0</v>
      </c>
      <c r="M19" s="57">
        <f>IF(K19="","",IF(K19=6,M20*L19))</f>
      </c>
      <c r="N19" s="59"/>
      <c r="O19" s="57">
        <f>IF(K19="","",IF(K19=6,L19*O20))</f>
      </c>
      <c r="P19" s="59"/>
      <c r="Q19" s="57">
        <f>IF(K19="","",IF(K19=6,Q20*L19))</f>
      </c>
      <c r="R19" s="59"/>
      <c r="S19" s="60">
        <f>IF(K19="","",IF(K19=6,S20*L19))</f>
      </c>
    </row>
    <row r="20" spans="1:19" ht="15" customHeight="1">
      <c r="A20" s="69" t="s">
        <v>40</v>
      </c>
      <c r="B20" s="70"/>
      <c r="C20" s="70"/>
      <c r="D20" s="70"/>
      <c r="E20" s="71"/>
      <c r="J20" s="6"/>
      <c r="K20" s="17" t="s">
        <v>41</v>
      </c>
      <c r="L20" s="52">
        <f>SUM(L14:L19)</f>
        <v>1</v>
      </c>
      <c r="M20" s="72">
        <f>IF(P10="Lose 1 lb",L4,IF(P10="Lose 2 lbs",M4,IF(P10="Maintain",N4,IF(P10="Gain 1 lb",O4,IF(P10="Gain 2 lbs",P4)))))</f>
        <v>3532.0774545454547</v>
      </c>
      <c r="N20" s="19"/>
      <c r="O20" s="72">
        <f>(M20*N13)/4</f>
        <v>529.8116181818182</v>
      </c>
      <c r="P20" s="19"/>
      <c r="Q20" s="72">
        <f>(P13*M20)/9</f>
        <v>94.18873212121213</v>
      </c>
      <c r="R20" s="19"/>
      <c r="S20" s="73">
        <f>(R13*M20)/4</f>
        <v>141.2830981818182</v>
      </c>
    </row>
    <row r="21" spans="10:19" ht="15.75" thickBot="1">
      <c r="J21" s="6"/>
      <c r="K21" s="42"/>
      <c r="L21" s="11"/>
      <c r="M21" s="11"/>
      <c r="N21" s="11"/>
      <c r="O21" s="11"/>
      <c r="P21" s="11"/>
      <c r="Q21" s="11"/>
      <c r="R21" s="46" t="s">
        <v>42</v>
      </c>
      <c r="S21" s="74"/>
    </row>
    <row r="22" spans="1:19" ht="15.75" thickBot="1">
      <c r="A22" s="75" t="s">
        <v>43</v>
      </c>
      <c r="B22" s="76"/>
      <c r="C22" s="76"/>
      <c r="D22" s="77">
        <v>0</v>
      </c>
      <c r="E22" s="78" t="s">
        <v>44</v>
      </c>
      <c r="F22" s="79">
        <v>0</v>
      </c>
      <c r="J22" s="6"/>
      <c r="K22" s="31"/>
      <c r="L22" s="80"/>
      <c r="M22" s="80"/>
      <c r="N22" s="80"/>
      <c r="O22" s="80"/>
      <c r="P22" s="80"/>
      <c r="Q22" s="80"/>
      <c r="R22" s="81">
        <f>S20/(C5/2.2)</f>
        <v>1.9426426000000003</v>
      </c>
      <c r="S22" s="82" t="s">
        <v>45</v>
      </c>
    </row>
    <row r="23" spans="1:19" s="6" customFormat="1" ht="12.75" customHeight="1">
      <c r="A23" s="83"/>
      <c r="B23" s="83"/>
      <c r="C23" s="83"/>
      <c r="D23" s="84"/>
      <c r="K23"/>
      <c r="L23"/>
      <c r="M23"/>
      <c r="N23"/>
      <c r="O23"/>
      <c r="P23"/>
      <c r="Q23"/>
      <c r="R23"/>
      <c r="S23"/>
    </row>
    <row r="24" spans="1:19" s="6" customFormat="1" ht="15.75" thickBot="1">
      <c r="A24" s="83"/>
      <c r="B24" s="75" t="s">
        <v>46</v>
      </c>
      <c r="C24" s="76"/>
      <c r="D24" s="76"/>
      <c r="E24" s="76"/>
      <c r="F24" s="85"/>
      <c r="K24"/>
      <c r="L24"/>
      <c r="M24"/>
      <c r="N24"/>
      <c r="O24"/>
      <c r="P24"/>
      <c r="Q24"/>
      <c r="R24"/>
      <c r="S24"/>
    </row>
    <row r="25" spans="10:19" ht="16.5" thickBot="1">
      <c r="J25" s="6"/>
      <c r="K25" s="86" t="s">
        <v>47</v>
      </c>
      <c r="L25" s="87"/>
      <c r="M25" s="87"/>
      <c r="N25" s="87"/>
      <c r="O25" s="87"/>
      <c r="P25" s="87"/>
      <c r="Q25" s="87"/>
      <c r="R25" s="87"/>
      <c r="S25" s="88"/>
    </row>
    <row r="26" spans="1:10" ht="15.75" thickBot="1">
      <c r="A26" s="89" t="s">
        <v>48</v>
      </c>
      <c r="B26" s="90" t="s">
        <v>49</v>
      </c>
      <c r="C26" s="91">
        <v>0</v>
      </c>
      <c r="D26" s="78" t="s">
        <v>50</v>
      </c>
      <c r="E26" s="92">
        <v>0.01</v>
      </c>
      <c r="F26" s="78" t="s">
        <v>51</v>
      </c>
      <c r="G26" s="79">
        <v>0</v>
      </c>
      <c r="H26" s="78" t="s">
        <v>44</v>
      </c>
      <c r="I26" s="79">
        <v>0</v>
      </c>
      <c r="J26" s="93"/>
    </row>
    <row r="27" spans="2:10" ht="15">
      <c r="B27" s="75" t="s">
        <v>52</v>
      </c>
      <c r="C27" s="94"/>
      <c r="D27" s="76"/>
      <c r="E27" s="95">
        <f>IF(I26&gt;0,((0.1*(C26*26.8)+(1.8*(C26*26.8)*E26))*((C5/2.2)/1000)*5*G26),0)</f>
        <v>0</v>
      </c>
      <c r="J27" s="6"/>
    </row>
    <row r="28" spans="2:10" ht="13.5" thickBot="1">
      <c r="B28" s="96"/>
      <c r="J28" s="6"/>
    </row>
    <row r="29" spans="1:10" ht="15.75" thickBot="1">
      <c r="A29" s="97" t="s">
        <v>53</v>
      </c>
      <c r="B29" s="90" t="s">
        <v>49</v>
      </c>
      <c r="C29" s="91">
        <v>7</v>
      </c>
      <c r="D29" s="78" t="s">
        <v>54</v>
      </c>
      <c r="E29" s="92">
        <v>0.01</v>
      </c>
      <c r="F29" s="78" t="s">
        <v>51</v>
      </c>
      <c r="G29" s="79">
        <v>30</v>
      </c>
      <c r="H29" s="78" t="s">
        <v>44</v>
      </c>
      <c r="I29" s="79">
        <v>3</v>
      </c>
      <c r="J29" s="93"/>
    </row>
    <row r="30" spans="2:5" ht="15">
      <c r="B30" s="98" t="s">
        <v>52</v>
      </c>
      <c r="C30" s="99"/>
      <c r="D30" s="100"/>
      <c r="E30" s="95">
        <f>IF(I29&gt;0,((0.2*(C29*26.8))+(0.9*(C29*26.8)*E29))*(((C5/2.2)/1000)*5*G29),0)</f>
        <v>427.72800000000007</v>
      </c>
    </row>
    <row r="31" ht="13.5" thickBot="1"/>
    <row r="32" spans="1:7" ht="15.75" thickBot="1">
      <c r="A32" s="101" t="s">
        <v>55</v>
      </c>
      <c r="B32" s="102"/>
      <c r="C32" s="79" t="s">
        <v>56</v>
      </c>
      <c r="D32" s="78" t="s">
        <v>51</v>
      </c>
      <c r="E32" s="79">
        <v>60</v>
      </c>
      <c r="F32" s="78" t="s">
        <v>44</v>
      </c>
      <c r="G32" s="79">
        <v>4</v>
      </c>
    </row>
    <row r="33" spans="2:5" ht="15">
      <c r="B33" s="75" t="s">
        <v>52</v>
      </c>
      <c r="C33" s="94"/>
      <c r="D33" s="76"/>
      <c r="E33" s="95">
        <f>IF(G32&gt;0,IF(C32="Light",(4*3.5)*((C5/2.2)/1000)*5*E32,IF(C32="Moderate",(6*3.5)*((C5/2.2)/1000)*5*E32,IF(C32="Heavy",(8*3.5)*((C5/2.2)/1000)*5*E32,IF(C32="None",0)))),0)</f>
        <v>458.18181818181813</v>
      </c>
    </row>
    <row r="34" ht="13.5" thickBot="1"/>
    <row r="35" spans="1:6" ht="18.75" thickBot="1">
      <c r="A35" s="103" t="s">
        <v>57</v>
      </c>
      <c r="B35" s="104"/>
      <c r="C35" s="104"/>
      <c r="D35" s="104"/>
      <c r="E35" s="104"/>
      <c r="F35" s="105">
        <f>IF(F22&gt;0,D22,0)+D13+E14+E15+D18+E27+E30+E33</f>
        <v>3472.857090909091</v>
      </c>
    </row>
    <row r="36" ht="13.5" thickBot="1">
      <c r="F36" s="106"/>
    </row>
    <row r="37" spans="1:6" ht="18.75" thickBot="1">
      <c r="A37" s="103" t="s">
        <v>58</v>
      </c>
      <c r="B37" s="104"/>
      <c r="C37" s="104"/>
      <c r="D37" s="104"/>
      <c r="E37" s="104"/>
      <c r="F37" s="105">
        <f>(((7*D18)+(7*(D13+E14+E15)))+((E33*G32)+(E30*I29)+(E27*I26)+(D22*F22)))</f>
        <v>21224.542181818182</v>
      </c>
    </row>
    <row r="39" ht="18.75" customHeight="1"/>
    <row r="40" ht="15.75" customHeight="1"/>
    <row r="41" ht="15.75" customHeight="1"/>
    <row r="45" ht="19.5" customHeight="1"/>
    <row r="54" spans="1:10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ht="15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</row>
    <row r="58" spans="1:10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</row>
  </sheetData>
  <sheetProtection password="DD55" sheet="1" objects="1" scenarios="1" selectLockedCells="1"/>
  <mergeCells count="27">
    <mergeCell ref="A1:I1"/>
    <mergeCell ref="A22:C22"/>
    <mergeCell ref="E5:F5"/>
    <mergeCell ref="B24:F24"/>
    <mergeCell ref="A20:E20"/>
    <mergeCell ref="A18:C18"/>
    <mergeCell ref="A17:C17"/>
    <mergeCell ref="A11:B11"/>
    <mergeCell ref="C15:D15"/>
    <mergeCell ref="Q5:S5"/>
    <mergeCell ref="K9:S9"/>
    <mergeCell ref="A35:E35"/>
    <mergeCell ref="B27:D27"/>
    <mergeCell ref="B30:D30"/>
    <mergeCell ref="A32:B32"/>
    <mergeCell ref="B33:D33"/>
    <mergeCell ref="K25:S25"/>
    <mergeCell ref="A37:E37"/>
    <mergeCell ref="K1:S1"/>
    <mergeCell ref="L12:L13"/>
    <mergeCell ref="N10:O10"/>
    <mergeCell ref="L2:M2"/>
    <mergeCell ref="O2:P2"/>
    <mergeCell ref="Q4:S4"/>
    <mergeCell ref="A13:B13"/>
    <mergeCell ref="B3:C3"/>
    <mergeCell ref="A5:B5"/>
  </mergeCells>
  <conditionalFormatting sqref="L20">
    <cfRule type="cellIs" priority="1" dxfId="0" operator="greaterThan" stopIfTrue="1">
      <formula>1</formula>
    </cfRule>
    <cfRule type="cellIs" priority="2" dxfId="1" operator="lessThan" stopIfTrue="1">
      <formula>1</formula>
    </cfRule>
  </conditionalFormatting>
  <dataValidations count="7">
    <dataValidation type="list" allowBlank="1" showInputMessage="1" showErrorMessage="1" sqref="B7">
      <formula1>"Male,Female"</formula1>
    </dataValidation>
    <dataValidation type="list" allowBlank="1" showInputMessage="1" showErrorMessage="1" sqref="C11">
      <formula1>" Bed Rest, Sedentary, Active, Very Active"</formula1>
    </dataValidation>
    <dataValidation type="list" allowBlank="1" showInputMessage="1" showErrorMessage="1" prompt="Meals" sqref="D17">
      <formula1>"2,3,4,5,6"</formula1>
    </dataValidation>
    <dataValidation type="list" allowBlank="1" showInputMessage="1" showErrorMessage="1" prompt="Intensity" sqref="C32">
      <formula1>"None,Light, Moderate, Heavy"</formula1>
    </dataValidation>
    <dataValidation type="list" allowBlank="1" showInputMessage="1" showErrorMessage="1" prompt="Per Week" sqref="I26:J26 I29:J29 F22 G32">
      <formula1>"0,1,2,3,4,5,6,7"</formula1>
    </dataValidation>
    <dataValidation type="list" allowBlank="1" showInputMessage="1" showErrorMessage="1" prompt="Meals per Day" sqref="K4">
      <formula1>"2,3,4,5,6"</formula1>
    </dataValidation>
    <dataValidation type="list" allowBlank="1" showInputMessage="1" showErrorMessage="1" prompt="Weekly Weight Change" sqref="P10">
      <formula1>"Lose 1 lb,Lose 2 lbs,Maintain,Gain 1 lb,Gain 2 lbs"</formula1>
    </dataValidation>
  </dataValidations>
  <hyperlinks>
    <hyperlink ref="K25" r:id="rId1" display="http://www.nutritiondata.com/widget/basic-search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Walts</dc:creator>
  <cp:keywords/>
  <dc:description/>
  <cp:lastModifiedBy>Corey Walts</cp:lastModifiedBy>
  <dcterms:created xsi:type="dcterms:W3CDTF">2009-02-23T22:35:21Z</dcterms:created>
  <dcterms:modified xsi:type="dcterms:W3CDTF">2009-02-23T22:37:54Z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